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0" windowWidth="1723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E33" i="1"/>
  <c r="AR26"/>
  <c r="AR31"/>
  <c r="BE31"/>
  <c r="BE29"/>
  <c r="BE27"/>
  <c r="BE28"/>
  <c r="BE26"/>
  <c r="BB31"/>
  <c r="BB29"/>
  <c r="BB28"/>
  <c r="BB27"/>
  <c r="BB26"/>
  <c r="AY31"/>
  <c r="AY29"/>
  <c r="AY28"/>
  <c r="AY27"/>
  <c r="AY26"/>
  <c r="AV31"/>
  <c r="AV29"/>
  <c r="AV28"/>
  <c r="AV27"/>
  <c r="AV26"/>
  <c r="AK31"/>
  <c r="AQ31"/>
  <c r="AQ29"/>
  <c r="AQ28"/>
  <c r="AO31"/>
  <c r="AO29"/>
  <c r="AO28"/>
  <c r="AM31"/>
  <c r="AM29"/>
  <c r="AM28"/>
  <c r="AK29"/>
  <c r="AK28"/>
  <c r="AI31"/>
  <c r="AI29"/>
  <c r="AI28"/>
  <c r="AG31"/>
  <c r="AG29"/>
  <c r="AG28"/>
  <c r="AE31"/>
  <c r="AE29"/>
  <c r="AE28"/>
  <c r="AC31"/>
  <c r="AC29"/>
  <c r="AC28"/>
  <c r="AA31"/>
  <c r="AA29"/>
  <c r="AA28"/>
  <c r="Y31"/>
  <c r="Y29"/>
  <c r="Y28"/>
  <c r="W31"/>
  <c r="W29"/>
  <c r="W28"/>
  <c r="U31"/>
  <c r="U29"/>
  <c r="U28"/>
  <c r="S31"/>
  <c r="S29"/>
  <c r="S28"/>
  <c r="Q31"/>
  <c r="Q29"/>
  <c r="Q28"/>
  <c r="O31"/>
  <c r="O29"/>
  <c r="O28"/>
  <c r="M31"/>
  <c r="M29"/>
  <c r="M28"/>
  <c r="M27"/>
  <c r="K31"/>
  <c r="K29"/>
  <c r="K28"/>
  <c r="K27"/>
  <c r="O26"/>
  <c r="Q26"/>
  <c r="S26"/>
  <c r="U26"/>
  <c r="W26"/>
  <c r="Y26"/>
  <c r="AA26"/>
  <c r="AC26"/>
  <c r="AE26"/>
  <c r="AG26"/>
  <c r="AI26"/>
  <c r="AK26"/>
  <c r="AM26"/>
  <c r="AO26"/>
  <c r="AQ26"/>
  <c r="AQ27"/>
  <c r="AO27"/>
  <c r="AM27"/>
  <c r="AK27"/>
  <c r="AI27"/>
  <c r="AG27"/>
  <c r="AE27"/>
  <c r="AC27"/>
  <c r="AA27"/>
  <c r="Y27"/>
  <c r="W27"/>
  <c r="U27"/>
  <c r="S27"/>
  <c r="Q27"/>
  <c r="O27"/>
  <c r="M26"/>
  <c r="K26"/>
  <c r="AE15"/>
  <c r="AY22"/>
  <c r="AV22"/>
  <c r="AY15"/>
  <c r="AV15"/>
  <c r="AY8"/>
  <c r="AV8"/>
  <c r="AY1"/>
  <c r="AY23" s="1"/>
  <c r="AY24" s="1"/>
  <c r="AV1"/>
  <c r="BE22"/>
  <c r="AA22"/>
  <c r="BE15"/>
  <c r="AA15"/>
  <c r="BE8"/>
  <c r="AA8"/>
  <c r="BE1"/>
  <c r="BE23" s="1"/>
  <c r="BE24" s="1"/>
  <c r="AA1"/>
  <c r="Y22" l="1"/>
  <c r="Y15"/>
  <c r="Y8"/>
  <c r="Y1"/>
  <c r="AC22"/>
  <c r="AC15"/>
  <c r="AC8"/>
  <c r="AC1"/>
  <c r="AE22"/>
  <c r="AE8"/>
  <c r="AE1"/>
  <c r="AM22"/>
  <c r="AM15"/>
  <c r="AM8"/>
  <c r="AM1"/>
  <c r="S22" l="1"/>
  <c r="S15"/>
  <c r="S8"/>
  <c r="S1"/>
  <c r="BB22"/>
  <c r="BB15"/>
  <c r="BB8"/>
  <c r="BB1"/>
  <c r="AV23"/>
  <c r="AV24" s="1"/>
  <c r="AM23"/>
  <c r="AM24" s="1"/>
  <c r="AE23"/>
  <c r="AE24" s="1"/>
  <c r="AC23"/>
  <c r="AC24" s="1"/>
  <c r="AA23"/>
  <c r="AA24" s="1"/>
  <c r="Y23"/>
  <c r="Y24" s="1"/>
  <c r="AQ22"/>
  <c r="AQ15"/>
  <c r="AQ8"/>
  <c r="AQ1"/>
  <c r="AO22"/>
  <c r="AO15"/>
  <c r="AO8"/>
  <c r="AO1"/>
  <c r="AK22"/>
  <c r="AK15"/>
  <c r="AK8"/>
  <c r="AK1"/>
  <c r="AI22"/>
  <c r="AI15"/>
  <c r="AI1"/>
  <c r="AI8"/>
  <c r="AG22"/>
  <c r="AG15"/>
  <c r="AG8"/>
  <c r="AG1"/>
  <c r="W22"/>
  <c r="W15"/>
  <c r="W8"/>
  <c r="W1"/>
  <c r="U22"/>
  <c r="U15"/>
  <c r="U8"/>
  <c r="U1"/>
  <c r="Q22"/>
  <c r="Q15"/>
  <c r="Q8"/>
  <c r="Q1"/>
  <c r="O22"/>
  <c r="O15"/>
  <c r="O8"/>
  <c r="O1"/>
  <c r="M22"/>
  <c r="M15"/>
  <c r="M8"/>
  <c r="M1"/>
  <c r="K22"/>
  <c r="K15"/>
  <c r="K8"/>
  <c r="K1"/>
  <c r="D2"/>
  <c r="F1" s="1"/>
  <c r="BH23"/>
  <c r="BH16"/>
  <c r="BH9"/>
  <c r="BH2"/>
  <c r="H27"/>
  <c r="B24"/>
  <c r="D24" s="1"/>
  <c r="B23"/>
  <c r="H22" s="1"/>
  <c r="H20"/>
  <c r="B16"/>
  <c r="D16" s="1"/>
  <c r="F15" s="1"/>
  <c r="B17"/>
  <c r="D17" s="1"/>
  <c r="H13"/>
  <c r="B10"/>
  <c r="D10" s="1"/>
  <c r="B9"/>
  <c r="D9" s="1"/>
  <c r="F8" s="1"/>
  <c r="H6"/>
  <c r="D3"/>
  <c r="H1"/>
  <c r="H3" s="1"/>
  <c r="H15" l="1"/>
  <c r="K23"/>
  <c r="K24" s="1"/>
  <c r="M23"/>
  <c r="M24" s="1"/>
  <c r="O23"/>
  <c r="O24" s="1"/>
  <c r="Q23"/>
  <c r="Q24" s="1"/>
  <c r="U23"/>
  <c r="U24" s="1"/>
  <c r="BB23"/>
  <c r="BB24" s="1"/>
  <c r="S23"/>
  <c r="S24" s="1"/>
  <c r="H18"/>
  <c r="H19" s="1"/>
  <c r="I19" s="1"/>
  <c r="W23"/>
  <c r="W24" s="1"/>
  <c r="AI23"/>
  <c r="AI24" s="1"/>
  <c r="AG23"/>
  <c r="AG24" s="1"/>
  <c r="AK23"/>
  <c r="AK24" s="1"/>
  <c r="AO23"/>
  <c r="AO24" s="1"/>
  <c r="AQ23"/>
  <c r="AQ24" s="1"/>
  <c r="H8"/>
  <c r="H11" s="1"/>
  <c r="H12" s="1"/>
  <c r="I12" s="1"/>
  <c r="H25"/>
  <c r="H26" s="1"/>
  <c r="I26" s="1"/>
  <c r="H24"/>
  <c r="H30"/>
  <c r="H2"/>
  <c r="H4"/>
  <c r="H5" s="1"/>
  <c r="I5" s="1"/>
  <c r="H17"/>
  <c r="D23"/>
  <c r="H9"/>
  <c r="H16"/>
  <c r="AR24"/>
  <c r="AR28" l="1"/>
  <c r="H10"/>
  <c r="I27"/>
  <c r="I28" s="1"/>
  <c r="H23"/>
  <c r="F22"/>
  <c r="F23" s="1"/>
  <c r="AR33"/>
  <c r="AR27"/>
  <c r="AR29"/>
</calcChain>
</file>

<file path=xl/sharedStrings.xml><?xml version="1.0" encoding="utf-8"?>
<sst xmlns="http://schemas.openxmlformats.org/spreadsheetml/2006/main" count="241" uniqueCount="143">
  <si>
    <t>Cedar Rapids 09-10 Census Bureau job creation</t>
  </si>
  <si>
    <t>Iowa 09-10 Census Bureau job creation</t>
  </si>
  <si>
    <t>Earnings  Cedar Rapids PO/Census ratio</t>
  </si>
  <si>
    <t>Apply Cedar Rapids ratio to Iowa job creation</t>
  </si>
  <si>
    <t>Iowa earnings</t>
  </si>
  <si>
    <t>Cedar Rapids PO earnings</t>
  </si>
  <si>
    <t>Cedar Rapids Census earnings</t>
  </si>
  <si>
    <t>Apply ratio to Iowa earnings</t>
  </si>
  <si>
    <t>Cedar Rapids 08-09 Census Bureau job creation</t>
  </si>
  <si>
    <t>Iowa 08-09 Census Bureau job creation</t>
  </si>
  <si>
    <t>Ratio to remove PO multiplier effect</t>
  </si>
  <si>
    <t>GIS contributes 5% to value of new business</t>
  </si>
  <si>
    <t>Cedar Rapids 07-08 Census Bureau job creation</t>
  </si>
  <si>
    <t>Iowa 07-08 Census Bureau job creation</t>
  </si>
  <si>
    <t>PO expenditures</t>
  </si>
  <si>
    <t>PO exenditures</t>
  </si>
  <si>
    <t>Ratio to PO earnings</t>
  </si>
  <si>
    <t>Average annual salary increase without multiplier effect</t>
  </si>
  <si>
    <t>Percent Cedar Rapids PO to Census</t>
  </si>
  <si>
    <t>Cedar Rapids Priority One report "Economic Impact of Priority One's Fiscal Year 2010/2009/2008/2007 Accomplishments"</t>
  </si>
  <si>
    <t>US Census Bureau QWI statistics    http://lehd.did.census.gov/led/datatools/qwiapp.html</t>
  </si>
  <si>
    <t xml:space="preserve"> </t>
  </si>
  <si>
    <t>Data sources:</t>
  </si>
  <si>
    <t>NW Iowa 1 Census Earnings 09-10</t>
  </si>
  <si>
    <t>NW Iowa 1 Census Earnings 08-09</t>
  </si>
  <si>
    <t>NW Iowa 1 Census Earnings 07-08</t>
  </si>
  <si>
    <t>NW Iowa 1 Census Earnings 06-07</t>
  </si>
  <si>
    <t>Iowa Lakes 2 Census Earnings 09-10</t>
  </si>
  <si>
    <t>Iowa Lakes 2 Census Earnings 08-09</t>
  </si>
  <si>
    <t>Iowa Lakes 2 Census Earnings 07-08</t>
  </si>
  <si>
    <t>Iowa Lakes 2 Census Earnings 06-07</t>
  </si>
  <si>
    <t>MidIowa 3 Census Earnings 09-10</t>
  </si>
  <si>
    <t>MidIowa 3 Census Earnings 08-09</t>
  </si>
  <si>
    <t>MidIowa 3 Census Earnings 07-08</t>
  </si>
  <si>
    <t>MidIowa 3 Census Earnings 06-07</t>
  </si>
  <si>
    <t>Ncentral Iowa 4 Census Earnings 09-10</t>
  </si>
  <si>
    <t>Ncentral Iowa 4 Census Earnings 08-09</t>
  </si>
  <si>
    <t>Ncentral Iowa 4 Census Earnings 07-08</t>
  </si>
  <si>
    <t>Ncentral Iowa 4 Census Earnings 06-07</t>
  </si>
  <si>
    <t>Cedar Valley 5 Census Earnings 09-10</t>
  </si>
  <si>
    <t>Cedar Valley 5 Census Earnings 08-09</t>
  </si>
  <si>
    <t>Cedar Valley 5 Census Earnings 07-08</t>
  </si>
  <si>
    <t>Cedar Valley 5 Census Earnings 06-07</t>
  </si>
  <si>
    <t>NE Iowa 6 Census Earnings 09-10</t>
  </si>
  <si>
    <t>NE Iowa 6 Census Earnings 08-09</t>
  </si>
  <si>
    <t>NE Iowa 6 Census Earnings 07-08</t>
  </si>
  <si>
    <t>NE Iowa 6 Census Earnings 06-07</t>
  </si>
  <si>
    <t>WIowa 7 Census Earnings 09-10</t>
  </si>
  <si>
    <t>WIowa 7 Census Earnings 08-09</t>
  </si>
  <si>
    <t>WIowa 7 Census Earnings 07-08</t>
  </si>
  <si>
    <t>WIowa 7 Census Earnings 06-07</t>
  </si>
  <si>
    <t>Ames-DesMoines 8 Census Earnings 09-10</t>
  </si>
  <si>
    <t>Ames-DesMoines 8 Census Earnings 08-09</t>
  </si>
  <si>
    <t>Ames-DesMoines 8 Census Earnings 07-08</t>
  </si>
  <si>
    <t>Ames-DesMoines 8 Census Earnings 06-07</t>
  </si>
  <si>
    <t>Priority One average ratio</t>
  </si>
  <si>
    <t>Average annual Census Earnings</t>
  </si>
  <si>
    <t>Ranking = 4</t>
  </si>
  <si>
    <t>Ranking = 3</t>
  </si>
  <si>
    <t>Ranking = 2</t>
  </si>
  <si>
    <t>Potential GIS ED contribution</t>
  </si>
  <si>
    <t>Ranking = 1</t>
  </si>
  <si>
    <t>Ranking = 2.5</t>
  </si>
  <si>
    <t>Totals</t>
  </si>
  <si>
    <t>total value at 3%</t>
  </si>
  <si>
    <t>total value at 2%</t>
  </si>
  <si>
    <t>total value at 1%</t>
  </si>
  <si>
    <t>total value at 5%</t>
  </si>
  <si>
    <t>Jim rank 1.5</t>
  </si>
  <si>
    <t>Jim rank 4</t>
  </si>
  <si>
    <t>Jim rank 1</t>
  </si>
  <si>
    <t>Jim rank 2</t>
  </si>
  <si>
    <t>Jim rank 4 - probably too low</t>
  </si>
  <si>
    <t>Jim rank 3</t>
  </si>
  <si>
    <t>Jim rank 2.5</t>
  </si>
  <si>
    <t>VanBuren Census Earnings 09-10</t>
  </si>
  <si>
    <t>VanBuren Census Earnings 08-09</t>
  </si>
  <si>
    <t>VanBuren Census Earnings 07-08</t>
  </si>
  <si>
    <t>Van Buren Census Earnings 06-07</t>
  </si>
  <si>
    <t>Great River 17 Census Earnings 09-10</t>
  </si>
  <si>
    <t>Great River 17 Census Earnings 08-09</t>
  </si>
  <si>
    <t>Great River 17 Census Earnings 07-08</t>
  </si>
  <si>
    <t>Great River 17 Census Earnings 06-07</t>
  </si>
  <si>
    <t>River Hills 16 Census Earnings 09-10</t>
  </si>
  <si>
    <t>River Hills 16 Census Earnings 08-09</t>
  </si>
  <si>
    <t>River Hills 16 Census Earnings 07-08</t>
  </si>
  <si>
    <t>River Hills 16 Census Earnings 06-07</t>
  </si>
  <si>
    <t>SCentralIowa 15 Census Earnings 09-10</t>
  </si>
  <si>
    <t>SCentralIowa 15 Census Earnings 08-09</t>
  </si>
  <si>
    <t>SCentralIowa 15 Census Earnings 07-08</t>
  </si>
  <si>
    <t>SCentralIowa 15 Census Earnings 06-07</t>
  </si>
  <si>
    <t>Why SWIowa 14 Census Earnings 09-10</t>
  </si>
  <si>
    <t>Why SWIowa 14 Census Earnings 08-09</t>
  </si>
  <si>
    <t>Why SWIowa 14 Census Earnings 07-08</t>
  </si>
  <si>
    <t>Why SWIowa 14 Census Earnings 06-07</t>
  </si>
  <si>
    <t>Greater Council Bluffs 13 Census Earnings 09-10</t>
  </si>
  <si>
    <t>Greater Council Bluffs 13 Census Earnings 08-09</t>
  </si>
  <si>
    <t>Greater Council Bluffs 13 Census Earnings 07-08</t>
  </si>
  <si>
    <t>Greater Council Bluffs 13 Census Earnings 06-07</t>
  </si>
  <si>
    <t>EIowa ED Alliance 12 Census Earnings 09-10</t>
  </si>
  <si>
    <t>EIowa ED Alliance 12 Census Earnings 08-09</t>
  </si>
  <si>
    <t>EIowa ED Alliance 12 Census Earnings 07-08</t>
  </si>
  <si>
    <t>EIowa ED Alliance 12 Census Earnings 06-07</t>
  </si>
  <si>
    <t>Prosperity EIowa 11 Census Earnings 09-10</t>
  </si>
  <si>
    <t>Prosperity EIowa 11 Census Earnings 08-09</t>
  </si>
  <si>
    <t>Prosperity EIowa 11 Census Earnings 07-08</t>
  </si>
  <si>
    <t>Prosperity EIowa 11 Census Earnings 06-07</t>
  </si>
  <si>
    <t>Dubuque, Jones, Jackson, Delaware</t>
  </si>
  <si>
    <t>Scott, Clinton, Muscatine</t>
  </si>
  <si>
    <t>Iowa Tech Corridor 10 Census Earnings 09-10</t>
  </si>
  <si>
    <t>Iowa Tech Corridor 10 Census Earnings 08-09</t>
  </si>
  <si>
    <t>Iowa Tech Corridor 10 Census Earnings 07-08</t>
  </si>
  <si>
    <t>Iowa Tech Corridor 10 Census Earnings 06-07</t>
  </si>
  <si>
    <t>Iowa Connections 9 Census Earnings 09-10</t>
  </si>
  <si>
    <t>Iowa Connections 9 Census Earnings 08-09</t>
  </si>
  <si>
    <t>Iowa Connections 9 Census Earnings 07-08</t>
  </si>
  <si>
    <t>Iowa Connections 9 Census Earnings 06-07</t>
  </si>
  <si>
    <t>Poweshiek Census Earnings 09-10</t>
  </si>
  <si>
    <t>Poweshiek Census Earnings 07-08</t>
  </si>
  <si>
    <t>Poweshiek Census Earnings 08-09</t>
  </si>
  <si>
    <t>Poweshiek Census Earnings 06-07</t>
  </si>
  <si>
    <t>Monona Census Earnings 09-10</t>
  </si>
  <si>
    <t>Monona Census Earnings 08-09</t>
  </si>
  <si>
    <t>Monona Census Earnings 07-08</t>
  </si>
  <si>
    <t>Monona Census Earnings 06-07</t>
  </si>
  <si>
    <t>Woodbury Census Earnings 09-10</t>
  </si>
  <si>
    <t>Woodbury Census Earnings 08-09</t>
  </si>
  <si>
    <t>Woodbury Census Earnings 07-08</t>
  </si>
  <si>
    <t>Woodbury Census Earnings 06-07</t>
  </si>
  <si>
    <t>Cedar Rapids census earnings</t>
  </si>
  <si>
    <t>Cedar Rapids 09-10 Priority One direct job impact</t>
  </si>
  <si>
    <t>Cedar Rapids 08-09 Priority One direct job impact</t>
  </si>
  <si>
    <t>Cedar Rapids 07-08 Priority One direct job impact</t>
  </si>
  <si>
    <t>Potential GIS ED contribution 5% = Rank 1</t>
  </si>
  <si>
    <t>Potential GIS ED contribution 2% = Rank 3</t>
  </si>
  <si>
    <t>Potential GIS ED contribution 1% = Rank 4</t>
  </si>
  <si>
    <t>total current value of GIS to ED</t>
  </si>
  <si>
    <t>Potential GIS ED contribution 3.5% = Rank 2</t>
  </si>
  <si>
    <t>potential benefit of GIS to ED</t>
  </si>
  <si>
    <t>Potential benefits enhanced GIS</t>
  </si>
  <si>
    <t>Cedar Rapids 06-07 Priority One direc job impact</t>
  </si>
  <si>
    <t>Cedar Rapids 06-07 Census Bureau job creation</t>
  </si>
  <si>
    <t>Iowa 06-07 Census Bureau job creation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</si>
</sst>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8" formatCode="&quot;$&quot;#,##0.00_);[Red]\(&quot;$&quot;#,##0.00\)"/>
    <numFmt numFmtId="164" formatCode="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6" fontId="0" fillId="0" borderId="0" xfId="0" applyNumberFormat="1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33"/>
  <sheetViews>
    <sheetView tabSelected="1" topLeftCell="A3" workbookViewId="0">
      <selection activeCell="A25" sqref="A25"/>
    </sheetView>
  </sheetViews>
  <sheetFormatPr defaultRowHeight="15"/>
  <cols>
    <col min="1" max="1" width="45.5703125" customWidth="1"/>
    <col min="3" max="3" width="27" customWidth="1"/>
    <col min="4" max="4" width="18" customWidth="1"/>
    <col min="5" max="5" width="27.28515625" customWidth="1"/>
    <col min="6" max="6" width="17.5703125" customWidth="1"/>
    <col min="7" max="7" width="40.42578125" customWidth="1"/>
    <col min="8" max="8" width="16.42578125" bestFit="1" customWidth="1"/>
    <col min="9" max="10" width="38.7109375" customWidth="1"/>
    <col min="11" max="11" width="16.28515625" customWidth="1"/>
    <col min="12" max="12" width="31.85546875" customWidth="1"/>
    <col min="13" max="13" width="16.28515625" customWidth="1"/>
    <col min="14" max="14" width="29.42578125" customWidth="1"/>
    <col min="15" max="15" width="16.28515625" customWidth="1"/>
    <col min="16" max="16" width="34.5703125" customWidth="1"/>
    <col min="17" max="17" width="15" customWidth="1"/>
    <col min="18" max="18" width="33.28515625" customWidth="1"/>
    <col min="19" max="19" width="17.85546875" customWidth="1"/>
    <col min="20" max="20" width="29.28515625" customWidth="1"/>
    <col min="21" max="21" width="16.42578125" customWidth="1"/>
    <col min="22" max="22" width="28.7109375" customWidth="1"/>
    <col min="23" max="23" width="14.85546875" customWidth="1"/>
    <col min="24" max="24" width="38" customWidth="1"/>
    <col min="25" max="25" width="16.42578125" customWidth="1"/>
    <col min="26" max="26" width="39.140625" customWidth="1"/>
    <col min="27" max="27" width="16.42578125" customWidth="1"/>
    <col min="28" max="28" width="40" customWidth="1"/>
    <col min="29" max="29" width="16.42578125" customWidth="1"/>
    <col min="30" max="30" width="37.5703125" customWidth="1"/>
    <col min="31" max="31" width="16.42578125" customWidth="1"/>
    <col min="32" max="32" width="38.5703125" customWidth="1"/>
    <col min="33" max="33" width="16.42578125" customWidth="1"/>
    <col min="34" max="34" width="43" customWidth="1"/>
    <col min="35" max="35" width="16.42578125" customWidth="1"/>
    <col min="36" max="36" width="35.28515625" customWidth="1"/>
    <col min="37" max="37" width="15.5703125" customWidth="1"/>
    <col min="38" max="38" width="34.28515625" customWidth="1"/>
    <col min="39" max="39" width="15.42578125" customWidth="1"/>
    <col min="40" max="40" width="33.140625" customWidth="1"/>
    <col min="41" max="41" width="15.42578125" customWidth="1"/>
    <col min="42" max="42" width="34.28515625" customWidth="1"/>
    <col min="43" max="43" width="15.42578125" customWidth="1"/>
    <col min="44" max="44" width="20.5703125" customWidth="1"/>
    <col min="45" max="45" width="15.42578125" customWidth="1"/>
    <col min="46" max="46" width="12.28515625" customWidth="1"/>
    <col min="47" max="47" width="39" customWidth="1"/>
    <col min="48" max="49" width="15.42578125" customWidth="1"/>
    <col min="50" max="50" width="29.28515625" customWidth="1"/>
    <col min="51" max="51" width="15.42578125" customWidth="1"/>
    <col min="53" max="53" width="31" customWidth="1"/>
    <col min="54" max="54" width="13.85546875" customWidth="1"/>
    <col min="56" max="56" width="31.7109375" customWidth="1"/>
    <col min="57" max="57" width="13.85546875" bestFit="1" customWidth="1"/>
    <col min="59" max="59" width="18.42578125" customWidth="1"/>
    <col min="60" max="60" width="10.85546875" bestFit="1" customWidth="1"/>
  </cols>
  <sheetData>
    <row r="1" spans="1:60">
      <c r="A1" t="s">
        <v>130</v>
      </c>
      <c r="B1">
        <v>881</v>
      </c>
      <c r="C1" t="s">
        <v>5</v>
      </c>
      <c r="D1" s="1">
        <v>42638032</v>
      </c>
      <c r="E1" s="1" t="s">
        <v>129</v>
      </c>
      <c r="F1" s="1">
        <f>D2</f>
        <v>1190434392</v>
      </c>
      <c r="G1" t="s">
        <v>18</v>
      </c>
      <c r="H1">
        <f>B1/B2</f>
        <v>3.3584934431229035E-2</v>
      </c>
      <c r="J1" t="s">
        <v>23</v>
      </c>
      <c r="K1" s="4">
        <f>(220*2557.5*12)+(225*2550.75*12)+(322*2540.5*12)+(104*2587.75*12)+(491*3354.75*12)+(868*2724*12)</f>
        <v>74824200</v>
      </c>
      <c r="L1" s="4" t="s">
        <v>27</v>
      </c>
      <c r="M1" s="4">
        <f>(351*2733*12)+(465*2994*12)+(750*2625.25*12)+(187*2603.74*12)</f>
        <v>57687958.560000002</v>
      </c>
      <c r="N1" s="4" t="s">
        <v>31</v>
      </c>
      <c r="O1" s="4">
        <f>(151*2425.5*12)+(243*2802.5*12)+(307*2747.5*12)+(182*2830.5*12)+(282*2805.75*12)+(191*2347.5*12)+(117*2678.25*12)+(909*3075*12)+(289*2826*12)</f>
        <v>90848757</v>
      </c>
      <c r="P1" s="4" t="s">
        <v>35</v>
      </c>
      <c r="Q1" s="4">
        <f>(932*3047.75*12)+(254*2775.5*12)+(204*2689.5*12)+(289*2863.75*12)+(191*2643.5*12)+(258*2610*12)+(102*2576.25*12)</f>
        <v>76353933</v>
      </c>
      <c r="R1" s="4" t="s">
        <v>39</v>
      </c>
      <c r="S1" s="4">
        <f>(2846*3384.5*12)+(329*2607.25*12)+(358*3062*12)+(182*2565.5*12)+(258*2589*12)+(267*2893.75*12)++(220*2565.5*12)</f>
        <v>168698310</v>
      </c>
      <c r="T1" s="4" t="s">
        <v>43</v>
      </c>
      <c r="U1" s="4">
        <f>(320*2489.5*12)+(370*2550.5*12)+(458*2425.25*12)+(137*2534.25*12)+(575*2736.5*12)</f>
        <v>57261231</v>
      </c>
      <c r="V1" s="4" t="s">
        <v>47</v>
      </c>
      <c r="W1" s="4">
        <f>(153*2595*12)+(88*2513*12)+(594*2723.5*12)+(352*2766.25*12)+(182*2791.25*12)+(144*2692.75*12)+(245*2891.25*12)+(172*2634.75*12)</f>
        <v>63203457</v>
      </c>
      <c r="X1" s="4" t="s">
        <v>51</v>
      </c>
      <c r="Y1" s="4">
        <f>(2140*3555.5*12)+(476*2846.75*12)+(698*3216.25*12)</f>
        <v>134505186</v>
      </c>
      <c r="Z1" s="4" t="s">
        <v>113</v>
      </c>
      <c r="AA1" s="4">
        <f>(11077*3898*12)+(1146*3289.75*12)+(574*2863*12)+(480*2681.75*12)</f>
        <v>598545618</v>
      </c>
      <c r="AB1" s="4" t="s">
        <v>109</v>
      </c>
      <c r="AC1" s="4">
        <f>(498*2956.25*12)+(397*2474*12)+(284*2777*12)+(5885*3884.25*12)+(2819*3644.5*12)+(346*2639*12)</f>
        <v>447465711</v>
      </c>
      <c r="AD1" s="4" t="s">
        <v>103</v>
      </c>
      <c r="AE1" s="4">
        <f>(313*2881*12)+(2600*3208.75*12)+(311*2343.25*12)+(322*2716*12)</f>
        <v>130173669</v>
      </c>
      <c r="AF1" s="4" t="s">
        <v>99</v>
      </c>
      <c r="AG1" s="4">
        <f>(5562*3232.75*12)+(1033*3623*12)+(1346*2894*12)</f>
        <v>307421262</v>
      </c>
      <c r="AH1" s="4" t="s">
        <v>95</v>
      </c>
      <c r="AI1" s="4">
        <f>(216*2569.75*12)+(169*3024.75*12)+(1578*2803.75*12)</f>
        <v>65886795</v>
      </c>
      <c r="AJ1" s="4" t="s">
        <v>91</v>
      </c>
      <c r="AK1" s="4">
        <f>(55*2468.75*12)+(269*2680.25*12)+(102*3265.25*12)+(221*2541.25*12)+(239*2702.5*12)+(84*2424.25*12)+(296*2577.5*12)+(106*2629.25*12)</f>
        <v>43711383</v>
      </c>
      <c r="AL1" s="4" t="s">
        <v>87</v>
      </c>
      <c r="AM1" s="4">
        <f>(120*2580*12)+(87*2239.25*12)+(105*2410.75*12)+(330*2586*12)+(80*2728.5*12)+(182*2575.25*12)</f>
        <v>27574788</v>
      </c>
      <c r="AN1" s="4" t="s">
        <v>83</v>
      </c>
      <c r="AO1" s="4">
        <f>(284*2511.5*12)+(97*2433.75*12)+(285*2743*12)+(557*2880*12)+(120*2641*12)+(406*3084.25*12)+(147*2741.75*12)+(645*3313.25*12)</f>
        <v>89333565</v>
      </c>
      <c r="AP1" s="4" t="s">
        <v>79</v>
      </c>
      <c r="AQ1" s="4">
        <f>(1003*2986.25*12)+(426*2818.5*12)+(837*3054.75*12)+(145*2725*12)</f>
        <v>85774086</v>
      </c>
      <c r="AR1" s="4"/>
      <c r="AS1" s="4"/>
      <c r="AU1" t="s">
        <v>125</v>
      </c>
      <c r="AV1" s="4">
        <f>(2507*2937.75*12)</f>
        <v>88379271</v>
      </c>
      <c r="AW1" s="4"/>
      <c r="AX1" s="4" t="s">
        <v>121</v>
      </c>
      <c r="AY1" s="4">
        <f>(196*2494.75*12)</f>
        <v>5867652</v>
      </c>
      <c r="BA1" t="s">
        <v>75</v>
      </c>
      <c r="BB1" s="4">
        <f>116*2441.5*12</f>
        <v>3398568</v>
      </c>
      <c r="BD1" t="s">
        <v>117</v>
      </c>
      <c r="BE1" s="4">
        <f>(498*3154.5*12)</f>
        <v>18851292</v>
      </c>
      <c r="BG1" t="s">
        <v>14</v>
      </c>
      <c r="BH1" s="1">
        <v>1100000</v>
      </c>
    </row>
    <row r="2" spans="1:60">
      <c r="A2" t="s">
        <v>0</v>
      </c>
      <c r="B2">
        <v>26232</v>
      </c>
      <c r="C2" t="s">
        <v>6</v>
      </c>
      <c r="D2" s="4">
        <f>B2*3781.75*12</f>
        <v>1190434392</v>
      </c>
      <c r="E2" s="4"/>
      <c r="F2" s="4"/>
      <c r="G2" t="s">
        <v>2</v>
      </c>
      <c r="H2" s="4">
        <f>H1*D2</f>
        <v>39980661</v>
      </c>
      <c r="AD2" t="s">
        <v>107</v>
      </c>
      <c r="AF2" t="s">
        <v>108</v>
      </c>
      <c r="BG2" t="s">
        <v>16</v>
      </c>
      <c r="BH2">
        <f>BH1/D1</f>
        <v>2.5798564061305644E-2</v>
      </c>
    </row>
    <row r="3" spans="1:60">
      <c r="A3" t="s">
        <v>1</v>
      </c>
      <c r="B3">
        <v>272396</v>
      </c>
      <c r="C3" t="s">
        <v>4</v>
      </c>
      <c r="D3" s="4">
        <f>B3*3271.5*12</f>
        <v>10693722168</v>
      </c>
      <c r="E3" s="4"/>
      <c r="F3" s="4"/>
      <c r="G3" t="s">
        <v>3</v>
      </c>
      <c r="H3">
        <f>B3*H1</f>
        <v>9148.4017993290636</v>
      </c>
    </row>
    <row r="4" spans="1:60">
      <c r="G4" t="s">
        <v>7</v>
      </c>
      <c r="H4" s="4">
        <f>H1*D3</f>
        <v>359147957.83806038</v>
      </c>
    </row>
    <row r="5" spans="1:60">
      <c r="G5" t="s">
        <v>11</v>
      </c>
      <c r="H5" s="4">
        <f>0.05*H4</f>
        <v>17957397.89190302</v>
      </c>
      <c r="I5" s="4">
        <f>H5</f>
        <v>17957397.89190302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1:60">
      <c r="G6" t="s">
        <v>10</v>
      </c>
      <c r="H6">
        <f>881/1520</f>
        <v>0.57960526315789473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</row>
    <row r="7" spans="1:60"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</row>
    <row r="8" spans="1:60">
      <c r="A8" t="s">
        <v>131</v>
      </c>
      <c r="B8">
        <v>843</v>
      </c>
      <c r="C8" t="s">
        <v>5</v>
      </c>
      <c r="D8" s="1">
        <v>26626766</v>
      </c>
      <c r="E8" s="5" t="s">
        <v>129</v>
      </c>
      <c r="F8" s="5">
        <f>D9</f>
        <v>1181128512</v>
      </c>
      <c r="G8" t="s">
        <v>18</v>
      </c>
      <c r="H8">
        <f>B8/B9</f>
        <v>3.1739457831325299E-2</v>
      </c>
      <c r="I8" s="4"/>
      <c r="J8" t="s">
        <v>24</v>
      </c>
      <c r="K8" s="4">
        <f>(272*2480*12)+(200*2485.75*12)+(315*2482.25*12)+(120*2565.75*12)+(493*3204.75*12)+(833*2632.5*12)</f>
        <v>72411876</v>
      </c>
      <c r="L8" s="4" t="s">
        <v>28</v>
      </c>
      <c r="M8" s="4">
        <f>(427*2600.75*12)+(374*2864.5*12)+(713*2518.75*12)+(153*2501.75*12)</f>
        <v>52325757</v>
      </c>
      <c r="N8" s="4" t="s">
        <v>32</v>
      </c>
      <c r="O8" s="4">
        <f>(132*2379.75*12)+(264*2740.75*12)+(243*2802.5*12)+(155*2670.25*12)+(287*2672.5*12)+(210*2240.75*12)+(132*2548.75*12)+(672*3025.5*12)+(239*2767.5*12)</f>
        <v>76813797</v>
      </c>
      <c r="P8" s="4" t="s">
        <v>36</v>
      </c>
      <c r="Q8" s="4">
        <f>(861*2956.25*12)+(237*2684.75*12)+(253*2618.5*12)+(195*2607.5*12)+(250*2627.25*12)+(225*2484*12)+(86*2572.5*12)</f>
        <v>69474090</v>
      </c>
      <c r="R8" s="4" t="s">
        <v>40</v>
      </c>
      <c r="S8" s="4">
        <f>(2788*3446.25*12)+(275*2555.5*12)+(389*2970.25*12)+(197*2532*12)+(263*2486.25)+(238*2839.75*12)+(189*2526.25*12)</f>
        <v>158075409.75</v>
      </c>
      <c r="T8" s="4" t="s">
        <v>44</v>
      </c>
      <c r="U8" s="4">
        <f>(320*2407.5*12)+(319*2550.75*12)+(354*2365.25*12)+(149*2527.25*12)+(526*2701*12)</f>
        <v>50624088</v>
      </c>
      <c r="V8" s="4" t="s">
        <v>48</v>
      </c>
      <c r="W8" s="4">
        <f>(112*2428*12)+(92*2395.5*12)+(481*2646*12)+(271*2701.75*12)+(162*2766.25*12)+(141*2715*12)+(138*2952.75*12)+(179*2563*12)</f>
        <v>50333115</v>
      </c>
      <c r="X8" s="4" t="s">
        <v>52</v>
      </c>
      <c r="Y8" s="4">
        <f>(2008*3522.75*12)+(433*2750.75*12)+(758*3186*12)</f>
        <v>128156937</v>
      </c>
      <c r="Z8" s="4" t="s">
        <v>114</v>
      </c>
      <c r="AA8" s="4">
        <f>(11569*3765*12)+(1254*3192*12)+(653*2897*12)+(549*2605.5*12)</f>
        <v>610586562</v>
      </c>
      <c r="AB8" s="4" t="s">
        <v>110</v>
      </c>
      <c r="AC8" s="4">
        <f>(397*2834.5*12)+(359*2430.5*12)+(309*2644.25*12)+(6007*3807.5*12)+(3576*3686*12)+(321*2589.25*12)</f>
        <v>476386284</v>
      </c>
      <c r="AD8" s="4" t="s">
        <v>104</v>
      </c>
      <c r="AE8" s="4">
        <f>(282*2781*12)+(2499*3045*12)+(322*2380.25*12)+(309*2617*12)</f>
        <v>119625486</v>
      </c>
      <c r="AF8" s="4" t="s">
        <v>100</v>
      </c>
      <c r="AG8" s="4">
        <f>(4082*3200.5*12)+(837*3468.75*12)+(1121*2891.25*12)</f>
        <v>230506512</v>
      </c>
      <c r="AH8" s="4" t="s">
        <v>96</v>
      </c>
      <c r="AI8" s="4">
        <f>(192*2506.75*12)+(168*2978*12)+(1774*2765.25*12)</f>
        <v>70645842</v>
      </c>
      <c r="AJ8" s="4" t="s">
        <v>92</v>
      </c>
      <c r="AK8" s="4">
        <f>(57*2340.25*12)+(272*2601.25*12)+(136*2809.75*12)+(163*2459.75*12)+(275*2617*12)+(67*2381.5*12)+(296*2488*12)+(69*2505*12)</f>
        <v>40950336</v>
      </c>
      <c r="AL8" s="4" t="s">
        <v>88</v>
      </c>
      <c r="AM8" s="4">
        <f>(121*2477*12)+(102*2182.75*12)+(73*2262.5*12)+(213*2507.5*12)+(93*2448.5*12)+(197*2555.5*12)</f>
        <v>23433138</v>
      </c>
      <c r="AN8" s="4" t="s">
        <v>84</v>
      </c>
      <c r="AO8" s="4">
        <f>(216*2443*12)+(86*2370*12)+(308*2653.75*12)+(474*2830.25*12)+(120*2515.5*12)+(362*2999.75*12)+(144*2585.75*12)+(603*3249.75*12)</f>
        <v>79321419</v>
      </c>
      <c r="AP8" s="4" t="s">
        <v>80</v>
      </c>
      <c r="AQ8" s="4">
        <f>(913*2938.75*12)+(326*2721.25*12)+(853*2910.5*12)+(175*2724.5*12)</f>
        <v>78355803</v>
      </c>
      <c r="AR8" s="4"/>
      <c r="AS8" s="4"/>
      <c r="AU8" t="s">
        <v>126</v>
      </c>
      <c r="AV8" s="4">
        <f>(2247*2859*12)</f>
        <v>77090076</v>
      </c>
      <c r="AW8" s="4"/>
      <c r="AX8" s="4" t="s">
        <v>122</v>
      </c>
      <c r="AY8" s="4">
        <f>(147*2406.25*12)</f>
        <v>4244625</v>
      </c>
      <c r="BA8" t="s">
        <v>76</v>
      </c>
      <c r="BB8" s="4">
        <f>104*2383*12</f>
        <v>2973984</v>
      </c>
      <c r="BD8" t="s">
        <v>119</v>
      </c>
      <c r="BE8" s="4">
        <f>(444*3026.75*12)</f>
        <v>16126524</v>
      </c>
      <c r="BG8" t="s">
        <v>15</v>
      </c>
      <c r="BH8" s="1">
        <v>1100000</v>
      </c>
    </row>
    <row r="9" spans="1:60">
      <c r="A9" t="s">
        <v>8</v>
      </c>
      <c r="B9">
        <f>6640*4</f>
        <v>26560</v>
      </c>
      <c r="C9" t="s">
        <v>6</v>
      </c>
      <c r="D9" s="4">
        <f>B9*3705.85*12</f>
        <v>1181128512</v>
      </c>
      <c r="E9" s="4"/>
      <c r="F9" s="4"/>
      <c r="G9" t="s">
        <v>2</v>
      </c>
      <c r="H9" s="4">
        <f>H8*D9</f>
        <v>37488378.599999994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BG9" t="s">
        <v>16</v>
      </c>
      <c r="BH9">
        <f>BH8/D8</f>
        <v>4.1311813834244836E-2</v>
      </c>
    </row>
    <row r="10" spans="1:60">
      <c r="A10" t="s">
        <v>9</v>
      </c>
      <c r="B10">
        <f>65457*4</f>
        <v>261828</v>
      </c>
      <c r="C10" t="s">
        <v>4</v>
      </c>
      <c r="D10" s="4">
        <f>B10*3195.258*12</f>
        <v>10039296139.487999</v>
      </c>
      <c r="E10" s="4"/>
      <c r="F10" s="4"/>
      <c r="G10" t="s">
        <v>3</v>
      </c>
      <c r="H10">
        <f>B10*H8</f>
        <v>8310.2787650602404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</row>
    <row r="11" spans="1:60">
      <c r="G11" t="s">
        <v>7</v>
      </c>
      <c r="H11" s="4">
        <f>H8*D10</f>
        <v>318641816.47546619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</row>
    <row r="12" spans="1:60">
      <c r="G12" t="s">
        <v>11</v>
      </c>
      <c r="H12" s="4">
        <f>0.05*H11</f>
        <v>15932090.82377331</v>
      </c>
      <c r="I12" s="4">
        <f>H12</f>
        <v>15932090.82377331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</row>
    <row r="13" spans="1:60">
      <c r="G13" t="s">
        <v>10</v>
      </c>
      <c r="H13">
        <f>843/1217</f>
        <v>0.69268693508627777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</row>
    <row r="14" spans="1:60"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</row>
    <row r="15" spans="1:60">
      <c r="A15" t="s">
        <v>132</v>
      </c>
      <c r="B15">
        <v>641</v>
      </c>
      <c r="C15" t="s">
        <v>5</v>
      </c>
      <c r="D15" s="1">
        <v>38789556</v>
      </c>
      <c r="E15" s="1" t="s">
        <v>129</v>
      </c>
      <c r="F15" s="1">
        <f>D16</f>
        <v>1158429816</v>
      </c>
      <c r="G15" t="s">
        <v>18</v>
      </c>
      <c r="H15">
        <f>B15/B16</f>
        <v>2.4798823893531413E-2</v>
      </c>
      <c r="I15" s="4"/>
      <c r="J15" t="s">
        <v>25</v>
      </c>
      <c r="K15" s="4">
        <f>(253*2471.5*12)+(202*2489.5*12)+(339*2430.75*12)+(139*2489.25*12)+(454*3170.75*12)+(973*2653.75*12)</f>
        <v>75837813</v>
      </c>
      <c r="L15" s="4" t="s">
        <v>29</v>
      </c>
      <c r="M15" s="4">
        <f>(445*2536.75*12)+(456*2872.75*12)+(785*2554*12)+(197*2567.75*12)</f>
        <v>59394774</v>
      </c>
      <c r="N15" s="4" t="s">
        <v>33</v>
      </c>
      <c r="O15" s="4">
        <f>(189*2333.75*12)+(365*2752*12)+(346*2756.5*12)+(174*2573.25*12)+(316*2690*12)+(201*2292*12)+(215*2480.75*12)+(918*3056.5*12)+(327*2813.5*12)</f>
        <v>101004336</v>
      </c>
      <c r="P15" s="4" t="s">
        <v>37</v>
      </c>
      <c r="Q15" s="4">
        <f>(1101*2957.25*12)+(280*2648.75*12)+(205*2519.75*12)+(276*2594.25*12)+(238*2532.75*12)+(200*2553.25*12)+(138*2510.5*12)</f>
        <v>80280450</v>
      </c>
      <c r="R15" s="4" t="s">
        <v>41</v>
      </c>
      <c r="S15" s="4">
        <f>(3105*3424.25*12)+(325*2546.75*12)+(474*3067*12)+(236*2417.25*12)+(276*2462.5*12)+(256*2742*12)+(255*2509.25*12)</f>
        <v>186068157</v>
      </c>
      <c r="T15" s="4" t="s">
        <v>45</v>
      </c>
      <c r="U15" s="4">
        <f>(326*2391.5*12)+(367*2519.25*12)+(382*2300*12)+(179*2494.75*12)+(535*2726.5*12)</f>
        <v>53856378</v>
      </c>
      <c r="V15" s="4" t="s">
        <v>49</v>
      </c>
      <c r="W15" s="4">
        <f>(151*2492.5*12)+(104*2399.25*12)+(547*2604*12)+(361*2712.75*12)+(168*2694.25*12)+(214*2653*12)+(264*3085.5*12)+(182*2516.75&amp;12)</f>
        <v>58832387.512000002</v>
      </c>
      <c r="X15" s="4" t="s">
        <v>53</v>
      </c>
      <c r="Y15" s="4">
        <f>(2209*3506.75*12)+(485*2738*12)+(764*3182.75*12)</f>
        <v>138071541</v>
      </c>
      <c r="Z15" s="4" t="s">
        <v>115</v>
      </c>
      <c r="AA15" s="4">
        <f>(12772*3805.5*12)+(1299*3111*12)+(756*2777.75*12)+(597*2621*12)</f>
        <v>675717012</v>
      </c>
      <c r="AB15" s="4" t="s">
        <v>111</v>
      </c>
      <c r="AC15" s="4">
        <f>(456*2914.75*12)+(400*2437.75*12)+(363*2548*12)+(5820*3846.75*12)+(3226*3648.25*12)+(308*2575.75*12)</f>
        <v>458157846</v>
      </c>
      <c r="AD15" s="4" t="s">
        <v>105</v>
      </c>
      <c r="AE15" s="4">
        <f>(344*2798.25*12)+(2536*3063.75*12)+(332*2315*12)+(330*2549.75*12)</f>
        <v>124107186</v>
      </c>
      <c r="AF15" s="4" t="s">
        <v>101</v>
      </c>
      <c r="AG15" s="4">
        <f>(4372*3238.75*12)+(895*3625.75*12)+(1178*2944*12)</f>
        <v>250474719</v>
      </c>
      <c r="AH15" s="4" t="s">
        <v>97</v>
      </c>
      <c r="AI15" s="4">
        <f>(203*2408.5*12)+(208*2970.75*12)+(2016*2754.5*12)</f>
        <v>79918962</v>
      </c>
      <c r="AJ15" s="4" t="s">
        <v>93</v>
      </c>
      <c r="AK15" s="4">
        <f>(63*2316.25*12)+(294*2551*12)+(115*2863.75*12)+(206*2472.5*12)+(318*2694.25*12)+(86*2304.25*12)+(370*2458.75*12)+(85*2510.5*12)</f>
        <v>46951812</v>
      </c>
      <c r="AL15" s="4" t="s">
        <v>89</v>
      </c>
      <c r="AM15" s="4">
        <f>(147*2433.75*12)+(162*2140.25*12)+(98*2245.25*12)+(242*2446.25*12)+(96*2395.75)+(217*2493.5*12)</f>
        <v>24921171</v>
      </c>
      <c r="AN15" s="4" t="s">
        <v>85</v>
      </c>
      <c r="AO15" s="4">
        <f>(234*2473.25*12)+(89*2353.75*12)+(359*2671.5*12)+(634*2877.75*12)+(109*2488.5*12)+(424*3056.75*12)+(131*2489.75*12)+(686*3472.5*12)</f>
        <v>94168644</v>
      </c>
      <c r="AP15" s="4" t="s">
        <v>81</v>
      </c>
      <c r="AQ15" s="4">
        <f>(1001*2941*12)+(473*2757.5*12)+(862*2934.5*12)+(162*2700.25*12)</f>
        <v>86582616</v>
      </c>
      <c r="AR15" s="4"/>
      <c r="AS15" s="4"/>
      <c r="AU15" t="s">
        <v>127</v>
      </c>
      <c r="AV15" s="4">
        <f>(2699*2895.25*12)</f>
        <v>93771357</v>
      </c>
      <c r="AW15" s="4"/>
      <c r="AX15" s="4" t="s">
        <v>123</v>
      </c>
      <c r="AY15" s="4">
        <f>(151*2388.25*12)</f>
        <v>4327509</v>
      </c>
      <c r="BA15" t="s">
        <v>77</v>
      </c>
      <c r="BB15" s="4">
        <f>115*2755*12</f>
        <v>3801900</v>
      </c>
      <c r="BD15" t="s">
        <v>118</v>
      </c>
      <c r="BE15" s="4">
        <f>(488*2977.25*12)</f>
        <v>17434776</v>
      </c>
      <c r="BG15" t="s">
        <v>14</v>
      </c>
      <c r="BH15" s="1">
        <v>1095975</v>
      </c>
    </row>
    <row r="16" spans="1:60">
      <c r="A16" t="s">
        <v>12</v>
      </c>
      <c r="B16">
        <f>6462*4</f>
        <v>25848</v>
      </c>
      <c r="C16" t="s">
        <v>6</v>
      </c>
      <c r="D16" s="4">
        <f>B16*3734.75*12</f>
        <v>1158429816</v>
      </c>
      <c r="E16" s="4"/>
      <c r="F16" s="4"/>
      <c r="G16" t="s">
        <v>2</v>
      </c>
      <c r="H16">
        <f>H15*D16</f>
        <v>28727697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BG16" t="s">
        <v>16</v>
      </c>
      <c r="BH16">
        <f>BH15/D15</f>
        <v>2.8254383731538459E-2</v>
      </c>
    </row>
    <row r="17" spans="1:60">
      <c r="A17" t="s">
        <v>13</v>
      </c>
      <c r="B17">
        <f>71521*4</f>
        <v>286084</v>
      </c>
      <c r="C17" t="s">
        <v>4</v>
      </c>
      <c r="D17" s="4">
        <f>B17*3205.75*12</f>
        <v>11005365396</v>
      </c>
      <c r="E17" s="4"/>
      <c r="F17" s="4"/>
      <c r="G17" t="s">
        <v>3</v>
      </c>
      <c r="H17">
        <f>H15*B17</f>
        <v>7094.5467347570411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</row>
    <row r="18" spans="1:60">
      <c r="G18" t="s">
        <v>7</v>
      </c>
      <c r="H18" s="4">
        <f>H15*D17</f>
        <v>272920118.33936858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</row>
    <row r="19" spans="1:60">
      <c r="G19" t="s">
        <v>11</v>
      </c>
      <c r="H19" s="4">
        <f>0.05*H18</f>
        <v>13646005.916968429</v>
      </c>
      <c r="I19" s="4">
        <f>H19</f>
        <v>13646005.916968429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</row>
    <row r="20" spans="1:60">
      <c r="G20" t="s">
        <v>10</v>
      </c>
      <c r="H20">
        <f>641/1388</f>
        <v>0.46181556195965417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</row>
    <row r="21" spans="1:60"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</row>
    <row r="22" spans="1:60">
      <c r="A22" t="s">
        <v>140</v>
      </c>
      <c r="B22">
        <v>1536</v>
      </c>
      <c r="C22" t="s">
        <v>5</v>
      </c>
      <c r="D22" s="1">
        <v>67603185</v>
      </c>
      <c r="E22" s="1" t="s">
        <v>129</v>
      </c>
      <c r="F22" s="1">
        <f>D23</f>
        <v>1146105072</v>
      </c>
      <c r="G22" t="s">
        <v>18</v>
      </c>
      <c r="H22">
        <f>B22/B23</f>
        <v>5.7502246181491468E-2</v>
      </c>
      <c r="I22" s="4"/>
      <c r="J22" t="s">
        <v>26</v>
      </c>
      <c r="K22" s="4">
        <f>(234*2341.75*12)+(207*2400.75*12)+(344*2329*12)+(127*2368*12)+(553*3098*12)+(1062*2516.75*12)</f>
        <v>78393831</v>
      </c>
      <c r="L22" s="4" t="s">
        <v>30</v>
      </c>
      <c r="M22" s="4">
        <f>(536*2397.25*12)+(500*2760*12)+(818*2494.5*12)+(210*2453.5*12)</f>
        <v>62647944</v>
      </c>
      <c r="N22" s="4" t="s">
        <v>34</v>
      </c>
      <c r="O22" s="4">
        <f>(149*2200.75*12)+(355*2631.25*12)+(356*2671*12)+(208*2480.5*12)+(312*2545.25*12)+(212*2255.5*12)+(133*2369*12)+(908*2959.25*12)+(311*2635*12)</f>
        <v>93872046</v>
      </c>
      <c r="P22" s="4" t="s">
        <v>38</v>
      </c>
      <c r="Q22" s="4">
        <f>(1240*2797*12)+(300*2577*12)+(250*2509.25*12)+(225*2753.5*12)+(217*2323.75*12)+(248*2445.75*12)+(205*2531*12)</f>
        <v>85414617</v>
      </c>
      <c r="R22" s="4" t="s">
        <v>42</v>
      </c>
      <c r="S22" s="4">
        <f>(3046*3273.25*12)+(372*2446.25*12)+(603*2850.5*12)+(203*2238.25*12)+(236*2302.75*12)+(231*2660.25*12)+(256*2418*12)</f>
        <v>177966186</v>
      </c>
      <c r="T22" s="4" t="s">
        <v>46</v>
      </c>
      <c r="U22" s="4">
        <f>(283*2247.75*12)+(340*2263.75*12)+(402*2200.5*12)+(163*2443.75*12)+(532*2610.5*12)</f>
        <v>48930078</v>
      </c>
      <c r="V22" s="4" t="s">
        <v>50</v>
      </c>
      <c r="W22" s="4">
        <f>(155*2430.5*12)+(126*2313.75*12)+(549*2497.25*12)+(280*2538.5*12)+(155*2534.25*12)+(161*2532*12)+(323*2806.75*12)+(182*2354.25*12)</f>
        <v>58626537</v>
      </c>
      <c r="X22" s="4" t="s">
        <v>54</v>
      </c>
      <c r="Y22" s="4">
        <f>(2302*3398.5*12)+(469*2603.75*12)+(801*2982.25*12)</f>
        <v>137199456</v>
      </c>
      <c r="Z22" s="4" t="s">
        <v>116</v>
      </c>
      <c r="AA22" s="4">
        <f>(14234*3737.75*12)+(1360*2994.25*12)+(678*2649.5*12)+(480*2509*12)</f>
        <v>723311934</v>
      </c>
      <c r="AB22" s="4" t="s">
        <v>112</v>
      </c>
      <c r="AC22" s="4">
        <f>(505*2851.5*12)+(543*2298.5*12)+(309*2415.25*12)+(5993*3686.75*12)+(3607*3517.75*12)+(336*2437.25*12)</f>
        <v>468438459</v>
      </c>
      <c r="AD22" s="4" t="s">
        <v>106</v>
      </c>
      <c r="AE22" s="4">
        <f>(378*2654.25*12)+(2623*2967*12)+(336*2124.75*12)+(345*2448.75*12)</f>
        <v>124133787</v>
      </c>
      <c r="AF22" s="4" t="s">
        <v>102</v>
      </c>
      <c r="AG22" s="4">
        <f>(4412*3122*12)+(1114*3512.75*12)+(1154*2802.75*12)</f>
        <v>251062092</v>
      </c>
      <c r="AH22" s="4" t="s">
        <v>98</v>
      </c>
      <c r="AI22" s="4">
        <f>(221*2281.75*12)+(191*2795.25*12)+(1940*2749.25*12)</f>
        <v>76460454</v>
      </c>
      <c r="AJ22" s="4" t="s">
        <v>94</v>
      </c>
      <c r="AK22" s="4">
        <f>(80*2258.75*12)+(320*2437*12)+(137*2880.75*12)+(187*2339.75*12)+(331*2585*12)+(124*2152*12)+(356*2325.75*12)+(84*2437.75*12)</f>
        <v>47375484</v>
      </c>
      <c r="AL22" s="4" t="s">
        <v>90</v>
      </c>
      <c r="AM22" s="4">
        <f>(153*2352.75*12)+(146*2056.75*12)+(90*2064*12)+(290*2348.5*12)+(99*2213.5*12)+(234*2453.5*12)</f>
        <v>27844041</v>
      </c>
      <c r="AN22" s="4" t="s">
        <v>86</v>
      </c>
      <c r="AO22" s="4">
        <f>(212*2492*12)+(106*2235*12)+(415*2659.25*12)+(692*2681.5*12)+(122*2374.75*12)+(444*2892*12)+(136*2340*12)+(696*3373.75*12)</f>
        <v>95574459</v>
      </c>
      <c r="AP22" s="4" t="s">
        <v>82</v>
      </c>
      <c r="AQ22" s="4">
        <f>(1037*2906*12)+(435*2693.5*12)+(958*2841.25*12)+(228*2606.75*12)</f>
        <v>90017412</v>
      </c>
      <c r="AR22" s="4"/>
      <c r="AS22" s="4"/>
      <c r="AU22" t="s">
        <v>128</v>
      </c>
      <c r="AV22" s="4">
        <f>(2866*2754.25*12)</f>
        <v>94724166</v>
      </c>
      <c r="AW22" s="4"/>
      <c r="AX22" s="4" t="s">
        <v>124</v>
      </c>
      <c r="AY22" s="4">
        <f>(162*2271.5*12)</f>
        <v>4415796</v>
      </c>
      <c r="BA22" t="s">
        <v>78</v>
      </c>
      <c r="BB22" s="4">
        <f>105*2641.75*12</f>
        <v>3328605</v>
      </c>
      <c r="BD22" t="s">
        <v>120</v>
      </c>
      <c r="BE22" s="4">
        <f>(558*2983.5*12)</f>
        <v>19977516</v>
      </c>
      <c r="BG22" t="s">
        <v>14</v>
      </c>
      <c r="BH22" s="1">
        <v>1112195</v>
      </c>
    </row>
    <row r="23" spans="1:60">
      <c r="A23" t="s">
        <v>141</v>
      </c>
      <c r="B23">
        <f>6678*4</f>
        <v>26712</v>
      </c>
      <c r="C23" t="s">
        <v>6</v>
      </c>
      <c r="D23" s="4">
        <f>3575.5*12*B23</f>
        <v>1146105072</v>
      </c>
      <c r="E23" s="4"/>
      <c r="F23" s="4">
        <f>SUM(F1:F22)</f>
        <v>4676097792</v>
      </c>
      <c r="G23" t="s">
        <v>2</v>
      </c>
      <c r="H23">
        <f>H22*D23</f>
        <v>65903616</v>
      </c>
      <c r="I23" s="4"/>
      <c r="J23" s="4"/>
      <c r="K23" s="4">
        <f>SUM(K1:K22)</f>
        <v>301467720</v>
      </c>
      <c r="L23" s="4"/>
      <c r="M23" s="4">
        <f>SUM(M1:M22)</f>
        <v>232056433.56</v>
      </c>
      <c r="N23" s="4"/>
      <c r="O23" s="4">
        <f>SUM(O1:O22)</f>
        <v>362538936</v>
      </c>
      <c r="P23" s="4"/>
      <c r="Q23" s="4">
        <f>SUM(Q1:Q22)</f>
        <v>311523090</v>
      </c>
      <c r="R23" s="4"/>
      <c r="S23" s="4">
        <f>SUM(S1:S22)</f>
        <v>690808062.75</v>
      </c>
      <c r="T23" s="4"/>
      <c r="U23" s="4">
        <f>SUM(U1:U22)</f>
        <v>210671775</v>
      </c>
      <c r="V23" s="4"/>
      <c r="W23" s="4">
        <f>SUM(W1:W22)</f>
        <v>230995496.51199999</v>
      </c>
      <c r="X23" s="4"/>
      <c r="Y23" s="4">
        <f>SUM(Y1:Y22)</f>
        <v>537933120</v>
      </c>
      <c r="Z23" s="4"/>
      <c r="AA23" s="4">
        <f>SUM(AA1:AA22)</f>
        <v>2608161126</v>
      </c>
      <c r="AB23" s="4"/>
      <c r="AC23" s="4">
        <f>SUM(AC1:AC22)</f>
        <v>1850448300</v>
      </c>
      <c r="AD23" s="4"/>
      <c r="AE23" s="4">
        <f>SUM(AE1:AE22)</f>
        <v>498040128</v>
      </c>
      <c r="AF23" s="4"/>
      <c r="AG23" s="4">
        <f>SUM(AG1:AG22)</f>
        <v>1039464585</v>
      </c>
      <c r="AH23" s="4"/>
      <c r="AI23" s="4">
        <f>SUM(AI1:AI22)</f>
        <v>292912053</v>
      </c>
      <c r="AJ23" s="4"/>
      <c r="AK23" s="4">
        <f>SUM(AK1:AK22)</f>
        <v>178989015</v>
      </c>
      <c r="AL23" s="4"/>
      <c r="AM23" s="4">
        <f>SUM(AM1:AM22)</f>
        <v>103773138</v>
      </c>
      <c r="AN23" s="4"/>
      <c r="AO23" s="4">
        <f>SUM(AO1:AO22)</f>
        <v>358398087</v>
      </c>
      <c r="AP23" s="4"/>
      <c r="AQ23" s="4">
        <f>SUM(AQ1:AQ22)</f>
        <v>340729917</v>
      </c>
      <c r="AR23" s="4"/>
      <c r="AS23" s="4"/>
      <c r="AV23" s="4">
        <f>SUM(AV1:AV22)</f>
        <v>353964870</v>
      </c>
      <c r="AW23" s="4"/>
      <c r="AX23" s="4"/>
      <c r="AY23" s="4">
        <f>SUM(AY1:AY22)</f>
        <v>18855582</v>
      </c>
      <c r="BB23" s="4">
        <f>SUM(BB1:BB22)</f>
        <v>13503057</v>
      </c>
      <c r="BE23" s="4">
        <f>SUM(BE1:BE22)</f>
        <v>72390108</v>
      </c>
      <c r="BG23" t="s">
        <v>16</v>
      </c>
      <c r="BH23">
        <f>BH22/D22</f>
        <v>1.6451813623869941E-2</v>
      </c>
    </row>
    <row r="24" spans="1:60">
      <c r="A24" t="s">
        <v>142</v>
      </c>
      <c r="B24">
        <f>75114*4</f>
        <v>300456</v>
      </c>
      <c r="C24" t="s">
        <v>4</v>
      </c>
      <c r="D24" s="4">
        <f>3093.25*12*B24</f>
        <v>11152626264</v>
      </c>
      <c r="E24" s="4"/>
      <c r="F24" s="4"/>
      <c r="G24" t="s">
        <v>3</v>
      </c>
      <c r="H24">
        <f>H22*B24</f>
        <v>17276.8948787062</v>
      </c>
      <c r="I24" s="4"/>
      <c r="J24" s="4" t="s">
        <v>56</v>
      </c>
      <c r="K24" s="4">
        <f>K23/4</f>
        <v>75366930</v>
      </c>
      <c r="L24" s="4" t="s">
        <v>56</v>
      </c>
      <c r="M24" s="4">
        <f>M23/4</f>
        <v>58014108.390000001</v>
      </c>
      <c r="N24" s="4"/>
      <c r="O24" s="4">
        <f>O23/4</f>
        <v>90634734</v>
      </c>
      <c r="P24" s="4"/>
      <c r="Q24" s="4">
        <f>Q23/4</f>
        <v>77880772.5</v>
      </c>
      <c r="R24" s="4" t="s">
        <v>56</v>
      </c>
      <c r="S24" s="4">
        <f>S23/4</f>
        <v>172702015.6875</v>
      </c>
      <c r="T24" s="4" t="s">
        <v>56</v>
      </c>
      <c r="U24" s="4">
        <f>U23/4</f>
        <v>52667943.75</v>
      </c>
      <c r="V24" s="4" t="s">
        <v>56</v>
      </c>
      <c r="W24" s="4">
        <f>W23/4</f>
        <v>57748874.127999999</v>
      </c>
      <c r="X24" s="4" t="s">
        <v>56</v>
      </c>
      <c r="Y24" s="4">
        <f>Y23/4</f>
        <v>134483280</v>
      </c>
      <c r="Z24" s="4" t="s">
        <v>56</v>
      </c>
      <c r="AA24" s="4">
        <f>AA23/4</f>
        <v>652040281.5</v>
      </c>
      <c r="AB24" s="4"/>
      <c r="AC24" s="4">
        <f>AC23/4</f>
        <v>462612075</v>
      </c>
      <c r="AD24" s="4"/>
      <c r="AE24" s="4">
        <f>AE23/4</f>
        <v>124510032</v>
      </c>
      <c r="AF24" s="4" t="s">
        <v>56</v>
      </c>
      <c r="AG24" s="4">
        <f>AG23/4</f>
        <v>259866146.25</v>
      </c>
      <c r="AH24" s="4"/>
      <c r="AI24" s="4">
        <f>AI23/4</f>
        <v>73228013.25</v>
      </c>
      <c r="AJ24" s="4" t="s">
        <v>56</v>
      </c>
      <c r="AK24" s="4">
        <f>AK23/4</f>
        <v>44747253.75</v>
      </c>
      <c r="AL24" s="4" t="s">
        <v>56</v>
      </c>
      <c r="AM24" s="4">
        <f>AM23/4</f>
        <v>25943284.5</v>
      </c>
      <c r="AN24" s="4" t="s">
        <v>56</v>
      </c>
      <c r="AO24" s="4">
        <f>AO23/4</f>
        <v>89599521.75</v>
      </c>
      <c r="AP24" s="4" t="s">
        <v>56</v>
      </c>
      <c r="AQ24" s="4">
        <f>AQ23/4</f>
        <v>85182479.25</v>
      </c>
      <c r="AR24" s="3">
        <f>SUM(K24,M24,O24,Q24,S24,U24,Y24,AA24,AC24,AE24,AG24,AI24,AK24,AM24,AO24,AQ24,AV24,BB24)</f>
        <v>2571345853.3274999</v>
      </c>
      <c r="AS24" s="4"/>
      <c r="AU24" s="4" t="s">
        <v>56</v>
      </c>
      <c r="AV24" s="4">
        <f>AV23/4</f>
        <v>88491217.5</v>
      </c>
      <c r="AW24" s="4"/>
      <c r="AX24" s="4" t="s">
        <v>56</v>
      </c>
      <c r="AY24" s="4">
        <f>AY23/4</f>
        <v>4713895.5</v>
      </c>
      <c r="BA24" t="s">
        <v>56</v>
      </c>
      <c r="BB24" s="4">
        <f>BB23/4</f>
        <v>3375764.25</v>
      </c>
      <c r="BD24" t="s">
        <v>56</v>
      </c>
      <c r="BE24" s="4">
        <f>BE23/4</f>
        <v>18097527</v>
      </c>
    </row>
    <row r="25" spans="1:60">
      <c r="E25" s="2" t="s">
        <v>21</v>
      </c>
      <c r="G25" t="s">
        <v>7</v>
      </c>
      <c r="H25" s="4">
        <f>H22*D24</f>
        <v>641301061.00269544</v>
      </c>
      <c r="I25" s="4"/>
      <c r="J25" s="4" t="s">
        <v>57</v>
      </c>
      <c r="K25" s="4"/>
      <c r="L25" s="4" t="s">
        <v>59</v>
      </c>
      <c r="M25" s="4"/>
      <c r="N25" s="4" t="s">
        <v>61</v>
      </c>
      <c r="O25" s="4"/>
      <c r="P25" s="4" t="s">
        <v>61</v>
      </c>
      <c r="Q25" s="4"/>
      <c r="R25" s="4" t="s">
        <v>59</v>
      </c>
      <c r="S25" s="4"/>
      <c r="T25" s="4" t="s">
        <v>58</v>
      </c>
      <c r="U25" s="4"/>
      <c r="V25" s="4" t="s">
        <v>62</v>
      </c>
      <c r="W25" s="4"/>
      <c r="X25" s="4" t="s">
        <v>59</v>
      </c>
      <c r="Y25" s="4"/>
      <c r="Z25" s="4" t="s">
        <v>57</v>
      </c>
      <c r="AA25" s="4"/>
      <c r="AB25" s="4" t="s">
        <v>61</v>
      </c>
      <c r="AC25" s="4"/>
      <c r="AD25" s="4" t="s">
        <v>61</v>
      </c>
      <c r="AE25" s="4"/>
      <c r="AF25" s="4" t="s">
        <v>58</v>
      </c>
      <c r="AG25" s="4"/>
      <c r="AH25" s="4" t="s">
        <v>61</v>
      </c>
      <c r="AI25" s="4"/>
      <c r="AJ25" s="4" t="s">
        <v>59</v>
      </c>
      <c r="AK25" s="4"/>
      <c r="AL25" s="4" t="s">
        <v>59</v>
      </c>
      <c r="AM25" s="4"/>
      <c r="AN25" s="4" t="s">
        <v>57</v>
      </c>
      <c r="AO25" s="4"/>
      <c r="AP25" s="4" t="s">
        <v>59</v>
      </c>
      <c r="AQ25" s="4"/>
      <c r="AR25" s="3" t="s">
        <v>63</v>
      </c>
      <c r="AS25" s="4"/>
      <c r="AU25" t="s">
        <v>61</v>
      </c>
      <c r="AX25" t="s">
        <v>57</v>
      </c>
      <c r="BA25" t="s">
        <v>57</v>
      </c>
      <c r="BD25" t="s">
        <v>57</v>
      </c>
    </row>
    <row r="26" spans="1:60">
      <c r="G26" t="s">
        <v>11</v>
      </c>
      <c r="H26" s="4">
        <f>0.05*H25</f>
        <v>32065053.050134774</v>
      </c>
      <c r="I26" s="4">
        <f>H26</f>
        <v>32065053.050134774</v>
      </c>
      <c r="J26" s="4" t="s">
        <v>133</v>
      </c>
      <c r="K26" s="4">
        <f>0.0369*0.05*(K24)</f>
        <v>139051.98585000003</v>
      </c>
      <c r="L26" s="4" t="s">
        <v>60</v>
      </c>
      <c r="M26" s="4">
        <f>0.0369*0.05*(M24)</f>
        <v>107036.02997955002</v>
      </c>
      <c r="N26" s="4"/>
      <c r="O26" s="4">
        <f>0.0369*0.05*(O24)</f>
        <v>167221.08423000004</v>
      </c>
      <c r="P26" s="4"/>
      <c r="Q26" s="4">
        <f>0.0369*0.05*(Q24)</f>
        <v>143690.02526250001</v>
      </c>
      <c r="R26" s="4" t="s">
        <v>60</v>
      </c>
      <c r="S26" s="4">
        <f>0.0369*0.05*(S24)</f>
        <v>318635.21894343756</v>
      </c>
      <c r="T26" s="4" t="s">
        <v>60</v>
      </c>
      <c r="U26" s="4">
        <f>0.0369*0.05*(U24)</f>
        <v>97172.356218750021</v>
      </c>
      <c r="V26" s="4" t="s">
        <v>60</v>
      </c>
      <c r="W26" s="4">
        <f>0.0369*0.05*(W24)</f>
        <v>106546.67276616002</v>
      </c>
      <c r="X26" s="4" t="s">
        <v>60</v>
      </c>
      <c r="Y26" s="4">
        <f>0.0369*0.05*(Y24)</f>
        <v>248121.65160000004</v>
      </c>
      <c r="Z26" s="4" t="s">
        <v>60</v>
      </c>
      <c r="AA26" s="4">
        <f>0.0369*0.05*(AA24)</f>
        <v>1203014.3193675003</v>
      </c>
      <c r="AB26" s="4"/>
      <c r="AC26" s="4">
        <f>0.0369*0.05*(AC24)</f>
        <v>853519.27837500011</v>
      </c>
      <c r="AD26" s="4"/>
      <c r="AE26" s="4">
        <f>0.0369*0.05*(AE24)</f>
        <v>229721.00904000003</v>
      </c>
      <c r="AF26" s="4" t="s">
        <v>60</v>
      </c>
      <c r="AG26" s="4">
        <f>0.0369*0.05*(AG24)</f>
        <v>479453.03983125009</v>
      </c>
      <c r="AH26" s="4"/>
      <c r="AI26" s="4">
        <f>0.0369*0.05*(AI24)</f>
        <v>135105.68444625003</v>
      </c>
      <c r="AJ26" s="4" t="s">
        <v>60</v>
      </c>
      <c r="AK26" s="4">
        <f>0.0369*0.05*(AK24)</f>
        <v>82558.683168750009</v>
      </c>
      <c r="AL26" s="4" t="s">
        <v>60</v>
      </c>
      <c r="AM26" s="4">
        <f>0.0369*0.05*(AM24)</f>
        <v>47865.359902500008</v>
      </c>
      <c r="AN26" s="4" t="s">
        <v>60</v>
      </c>
      <c r="AO26" s="4">
        <f>0.0369*0.05*(AO24)</f>
        <v>165311.11762875001</v>
      </c>
      <c r="AP26" s="4" t="s">
        <v>60</v>
      </c>
      <c r="AQ26" s="4">
        <f>0.0369*0.05*(AQ24)</f>
        <v>157161.67421625002</v>
      </c>
      <c r="AR26" s="4">
        <f>SUM(K26,M26,O26,Q26,S26,U26,Y26,AA26,AC26,AE26,AG26,AI26,AK26,AM26,AO26,AQ26,AV26,AY26,BB26,BE26)</f>
        <v>4786220.1739017395</v>
      </c>
      <c r="AS26" s="3" t="s">
        <v>67</v>
      </c>
      <c r="AU26" s="4" t="s">
        <v>133</v>
      </c>
      <c r="AV26" s="4">
        <f>0.0369*0.05*(AV24)</f>
        <v>163266.29628750004</v>
      </c>
      <c r="AX26" s="4" t="s">
        <v>60</v>
      </c>
      <c r="AY26" s="4">
        <f>0.0369*0.05*(AY24)</f>
        <v>8697.137197500002</v>
      </c>
      <c r="BA26" s="4" t="s">
        <v>60</v>
      </c>
      <c r="BB26" s="4">
        <f>0.0369*0.05*(BB24)</f>
        <v>6228.2850412500011</v>
      </c>
      <c r="BD26" s="4" t="s">
        <v>60</v>
      </c>
      <c r="BE26" s="4">
        <f>0.0369*0.05*(BE24)</f>
        <v>33389.937315000003</v>
      </c>
    </row>
    <row r="27" spans="1:60">
      <c r="G27" t="s">
        <v>10</v>
      </c>
      <c r="H27">
        <f>1536/3112</f>
        <v>0.49357326478149099</v>
      </c>
      <c r="I27" s="4">
        <f>SUM(I5:I26)</f>
        <v>79600547.682779536</v>
      </c>
      <c r="J27" s="4" t="s">
        <v>137</v>
      </c>
      <c r="K27" s="4">
        <f>0.0369*0.035*(K24)</f>
        <v>97336.39009500001</v>
      </c>
      <c r="L27" s="4"/>
      <c r="M27" s="4">
        <f>0.0369*0.035*(M24)</f>
        <v>74925.22098568501</v>
      </c>
      <c r="N27" s="4"/>
      <c r="O27" s="4">
        <f>0.0369*0.035*(O24)</f>
        <v>117054.75896100001</v>
      </c>
      <c r="P27" s="4"/>
      <c r="Q27" s="4">
        <f>0.0369*0.035*(Q24)</f>
        <v>100583.01768375</v>
      </c>
      <c r="R27" s="4"/>
      <c r="S27" s="4">
        <f>0.0369*0.035*(S24)</f>
        <v>223044.65326040628</v>
      </c>
      <c r="T27" s="4"/>
      <c r="U27" s="4">
        <f>0.0369*0.035*(U24)</f>
        <v>68020.649353125002</v>
      </c>
      <c r="V27" s="4"/>
      <c r="W27" s="4">
        <f>0.0369*0.035*(W24)</f>
        <v>74582.670936312003</v>
      </c>
      <c r="X27" s="4"/>
      <c r="Y27" s="4">
        <f>0.0369*0.035*(Y24)</f>
        <v>173685.15612000003</v>
      </c>
      <c r="Z27" s="4"/>
      <c r="AA27" s="4">
        <f>0.0369*0.035*(AA24)</f>
        <v>842110.02355725004</v>
      </c>
      <c r="AB27" s="4"/>
      <c r="AC27" s="4">
        <f>0.0369*0.035*(AC24)</f>
        <v>597463.4948625</v>
      </c>
      <c r="AD27" s="4"/>
      <c r="AE27" s="4">
        <f>0.0369*0.035*(AE24)</f>
        <v>160804.706328</v>
      </c>
      <c r="AF27" s="4"/>
      <c r="AG27" s="4">
        <f>0.0369*0.035*(AG24)</f>
        <v>335617.12788187503</v>
      </c>
      <c r="AH27" s="4"/>
      <c r="AI27" s="4">
        <f>0.0369*0.035*(AI24)</f>
        <v>94573.979112375004</v>
      </c>
      <c r="AJ27" s="4"/>
      <c r="AK27" s="4">
        <f>0.0369*0.035*(AK24)</f>
        <v>57791.078218125003</v>
      </c>
      <c r="AL27" s="4"/>
      <c r="AM27" s="4">
        <f>0.0369*0.035*(AM24)</f>
        <v>33505.751931750005</v>
      </c>
      <c r="AN27" s="4"/>
      <c r="AO27" s="4">
        <f>0.0369*0.035*(AO24)</f>
        <v>115717.78234012501</v>
      </c>
      <c r="AP27" s="4"/>
      <c r="AQ27" s="4">
        <f>0.0369*0.035*(AQ24)</f>
        <v>110013.17195137501</v>
      </c>
      <c r="AR27" s="4">
        <f t="shared" ref="AR27:AR29" si="0">SUM(K27,M27,O27,Q27,S27,U27,Y27,AA27,AC27,AE27,AG27,AI27,AK27,AM27,AO27,AQ27)</f>
        <v>3202246.9626423414</v>
      </c>
      <c r="AS27" s="3" t="s">
        <v>64</v>
      </c>
      <c r="AU27" s="4" t="s">
        <v>137</v>
      </c>
      <c r="AV27" s="4">
        <f>0.0369*0.035*(AV24)</f>
        <v>114286.40740125001</v>
      </c>
      <c r="AY27" s="4">
        <f>0.0369*0.035*AY24</f>
        <v>6087.9960382500003</v>
      </c>
      <c r="BB27" s="4">
        <f>0.0369*0.035*(BB24)</f>
        <v>4359.7995288750008</v>
      </c>
      <c r="BE27" s="4">
        <f>0.0369*0.035*(BE24)</f>
        <v>23372.956120500003</v>
      </c>
    </row>
    <row r="28" spans="1:60">
      <c r="I28" s="3">
        <f>I27/4</f>
        <v>19900136.920694884</v>
      </c>
      <c r="J28" s="4" t="s">
        <v>134</v>
      </c>
      <c r="K28" s="3">
        <f>0.0369*0.02*(K24)</f>
        <v>55620.79434</v>
      </c>
      <c r="L28" s="3"/>
      <c r="M28" s="3">
        <f>0.0369*0.02*(M24)</f>
        <v>42814.411991820001</v>
      </c>
      <c r="N28" s="3"/>
      <c r="O28" s="3">
        <f>0.0369*0.02*(O24)</f>
        <v>66888.433692000006</v>
      </c>
      <c r="P28" s="3"/>
      <c r="Q28" s="3">
        <f>0.0369*0.02*(Q24)</f>
        <v>57476.010105000001</v>
      </c>
      <c r="R28" s="3"/>
      <c r="S28" s="3">
        <f>0.0369*0.02*(S24)</f>
        <v>127454.087577375</v>
      </c>
      <c r="T28" s="3"/>
      <c r="U28" s="3">
        <f>0.0369*0.02*(U24)</f>
        <v>38868.942487500004</v>
      </c>
      <c r="V28" s="3"/>
      <c r="W28" s="3">
        <f>0.0369*0.02*(W24)</f>
        <v>42618.669106464004</v>
      </c>
      <c r="X28" s="3"/>
      <c r="Y28" s="3">
        <f>0.0369*0.02*(Y24)</f>
        <v>99248.660640000002</v>
      </c>
      <c r="Z28" s="3"/>
      <c r="AA28" s="3">
        <f>0.0369*0.02*(AA24)</f>
        <v>481205.72774700006</v>
      </c>
      <c r="AB28" s="3"/>
      <c r="AC28" s="3">
        <f>0.0369*0.02*(AC24)</f>
        <v>341407.71135</v>
      </c>
      <c r="AD28" s="3"/>
      <c r="AE28" s="3">
        <f>0.0369*0.02*(AE24)</f>
        <v>91888.403616000011</v>
      </c>
      <c r="AF28" s="3"/>
      <c r="AG28" s="3">
        <f>0.0369*0.02*(AG24)</f>
        <v>191781.21593250002</v>
      </c>
      <c r="AH28" s="3"/>
      <c r="AI28" s="3">
        <f>0.0369*0.02*(AI24)</f>
        <v>54042.273778500006</v>
      </c>
      <c r="AJ28" s="3"/>
      <c r="AK28" s="3">
        <f>0.0369*0.02*(AK24)</f>
        <v>33023.473267500005</v>
      </c>
      <c r="AL28" s="3"/>
      <c r="AM28" s="3">
        <f>0.0369*0.02*(AM24)</f>
        <v>19146.143961000002</v>
      </c>
      <c r="AN28" s="3"/>
      <c r="AO28" s="3">
        <f>0.0369*0.02*(AO24)</f>
        <v>66124.447051499999</v>
      </c>
      <c r="AP28" s="3"/>
      <c r="AQ28" s="3">
        <f>0.0369*0.02*(AQ24)</f>
        <v>62864.669686500005</v>
      </c>
      <c r="AR28" s="4">
        <f t="shared" si="0"/>
        <v>1829855.4072241951</v>
      </c>
      <c r="AS28" s="3" t="s">
        <v>65</v>
      </c>
      <c r="AU28" s="4" t="s">
        <v>134</v>
      </c>
      <c r="AV28" s="4">
        <f>0.0369*0.02*(AV24)</f>
        <v>65306.518515000003</v>
      </c>
      <c r="AY28" s="4">
        <f>0.0369*0.02*(AY24)</f>
        <v>3478.8548790000004</v>
      </c>
      <c r="BB28" s="4">
        <f>0.0369*0.02*(BB24)</f>
        <v>2491.3140165</v>
      </c>
      <c r="BE28" s="4">
        <f>0.0369*0.02*(BE24)</f>
        <v>13355.974926000001</v>
      </c>
    </row>
    <row r="29" spans="1:60">
      <c r="A29" t="s">
        <v>22</v>
      </c>
      <c r="I29" s="2" t="s">
        <v>17</v>
      </c>
      <c r="J29" s="4" t="s">
        <v>135</v>
      </c>
      <c r="K29" s="3">
        <f>0.0369*0.01*(K24)</f>
        <v>27810.39717</v>
      </c>
      <c r="L29" s="2"/>
      <c r="M29" s="3">
        <f>0.0369*0.01*(M24)</f>
        <v>21407.205995910001</v>
      </c>
      <c r="N29" s="2"/>
      <c r="O29" s="3">
        <f>0.0369*0.01*(O24)</f>
        <v>33444.216846000003</v>
      </c>
      <c r="P29" s="2"/>
      <c r="Q29" s="3">
        <f>0.0369*0.01*(Q24)</f>
        <v>28738.005052500001</v>
      </c>
      <c r="R29" s="2"/>
      <c r="S29" s="3">
        <f>0.0369*0.01*(S24)</f>
        <v>63727.043788687501</v>
      </c>
      <c r="T29" s="2"/>
      <c r="U29" s="3">
        <f>0.0369*0.01*(U24)</f>
        <v>19434.471243750002</v>
      </c>
      <c r="V29" s="2"/>
      <c r="W29" s="3">
        <f>0.0369*0.01*(W24)</f>
        <v>21309.334553232002</v>
      </c>
      <c r="X29" s="2"/>
      <c r="Y29" s="3">
        <f>0.0369*0.01*(Y24)</f>
        <v>49624.330320000001</v>
      </c>
      <c r="Z29" s="2"/>
      <c r="AA29" s="3">
        <f>0.0369*0.01*(AA24)</f>
        <v>240602.86387350003</v>
      </c>
      <c r="AB29" s="2"/>
      <c r="AC29" s="3">
        <f>0.0369*0.01*(AC24)</f>
        <v>170703.855675</v>
      </c>
      <c r="AD29" s="2"/>
      <c r="AE29" s="3">
        <f>0.0369*0.01*(AE24)</f>
        <v>45944.201808000005</v>
      </c>
      <c r="AF29" s="2"/>
      <c r="AG29" s="3">
        <f>0.0369*0.01*(AG24)</f>
        <v>95890.607966250012</v>
      </c>
      <c r="AH29" s="2"/>
      <c r="AI29" s="3">
        <f>0.0369*0.01*(AI24)</f>
        <v>27021.136889250003</v>
      </c>
      <c r="AJ29" s="2"/>
      <c r="AK29" s="3">
        <f>0.0369*0.01*(AK24)</f>
        <v>16511.736633750003</v>
      </c>
      <c r="AL29" s="2"/>
      <c r="AM29" s="3">
        <f>0.0369*0.01*(AM24)</f>
        <v>9573.0719805000008</v>
      </c>
      <c r="AN29" s="2"/>
      <c r="AO29" s="3">
        <f>0.0369*0.01*(AO24)</f>
        <v>33062.22352575</v>
      </c>
      <c r="AP29" s="2"/>
      <c r="AQ29" s="3">
        <f>0.0369*0.01*(AQ24)</f>
        <v>31432.334843250002</v>
      </c>
      <c r="AR29" s="4">
        <f t="shared" si="0"/>
        <v>914927.70361209754</v>
      </c>
      <c r="AS29" s="2" t="s">
        <v>66</v>
      </c>
      <c r="AU29" s="4" t="s">
        <v>135</v>
      </c>
      <c r="AV29" s="4">
        <f>0.0369*0.01*(AV24)</f>
        <v>32653.259257500002</v>
      </c>
      <c r="AY29" s="4">
        <f>0.0369*0.01*(AY24)</f>
        <v>1739.4274395000002</v>
      </c>
      <c r="BB29" s="4">
        <f>0.0369*0.01*(BB24)</f>
        <v>1245.65700825</v>
      </c>
      <c r="BE29" s="4">
        <f>0.0369*0.01*(BE24)</f>
        <v>6677.9874630000004</v>
      </c>
    </row>
    <row r="30" spans="1:60">
      <c r="A30" t="s">
        <v>19</v>
      </c>
      <c r="G30" s="2" t="s">
        <v>55</v>
      </c>
      <c r="H30" s="2">
        <f>(H1+H8+H15+H22)/4</f>
        <v>3.6906365584394307E-2</v>
      </c>
      <c r="AO30" s="3"/>
    </row>
    <row r="31" spans="1:60">
      <c r="A31" t="s">
        <v>20</v>
      </c>
      <c r="J31" s="4" t="s">
        <v>69</v>
      </c>
      <c r="K31" s="3">
        <f>K29</f>
        <v>27810.39717</v>
      </c>
      <c r="L31" s="3" t="s">
        <v>73</v>
      </c>
      <c r="M31" s="3">
        <f>M28</f>
        <v>42814.411991820001</v>
      </c>
      <c r="N31" s="3" t="s">
        <v>73</v>
      </c>
      <c r="O31" s="3">
        <f>O28</f>
        <v>66888.433692000006</v>
      </c>
      <c r="P31" s="3" t="s">
        <v>74</v>
      </c>
      <c r="Q31" s="3">
        <f>(Q27+Q28)/2</f>
        <v>79029.513894375006</v>
      </c>
      <c r="R31" s="3" t="s">
        <v>74</v>
      </c>
      <c r="S31" s="3">
        <f>(S27+S28)/2</f>
        <v>175249.37041889064</v>
      </c>
      <c r="T31" s="3" t="s">
        <v>73</v>
      </c>
      <c r="U31" s="3">
        <f>U28</f>
        <v>38868.942487500004</v>
      </c>
      <c r="V31" s="3" t="s">
        <v>69</v>
      </c>
      <c r="W31" s="3">
        <f>W29</f>
        <v>21309.334553232002</v>
      </c>
      <c r="X31" s="3" t="s">
        <v>71</v>
      </c>
      <c r="Y31" s="3">
        <f>Y27</f>
        <v>173685.15612000003</v>
      </c>
      <c r="Z31" s="3" t="s">
        <v>72</v>
      </c>
      <c r="AA31" s="3">
        <f>AA29</f>
        <v>240602.86387350003</v>
      </c>
      <c r="AB31" s="3" t="s">
        <v>70</v>
      </c>
      <c r="AC31" s="3">
        <f>AC26</f>
        <v>853519.27837500011</v>
      </c>
      <c r="AD31" s="3" t="s">
        <v>71</v>
      </c>
      <c r="AE31" s="3">
        <f>AE27</f>
        <v>160804.706328</v>
      </c>
      <c r="AF31" s="3" t="s">
        <v>69</v>
      </c>
      <c r="AG31" s="3">
        <f>AG29</f>
        <v>95890.607966250012</v>
      </c>
      <c r="AH31" s="3" t="s">
        <v>70</v>
      </c>
      <c r="AI31" s="3">
        <f>AI26</f>
        <v>135105.68444625003</v>
      </c>
      <c r="AJ31" s="3" t="s">
        <v>69</v>
      </c>
      <c r="AK31" s="3">
        <f>AK29</f>
        <v>16511.736633750003</v>
      </c>
      <c r="AL31" s="3" t="s">
        <v>69</v>
      </c>
      <c r="AM31" s="3">
        <f>AM29</f>
        <v>9573.0719805000008</v>
      </c>
      <c r="AN31" s="3" t="s">
        <v>69</v>
      </c>
      <c r="AO31" s="3">
        <f>AO29</f>
        <v>33062.22352575</v>
      </c>
      <c r="AP31" s="3" t="s">
        <v>68</v>
      </c>
      <c r="AQ31" s="3">
        <f>(AQ26+AQ27)/2</f>
        <v>133587.42308381252</v>
      </c>
      <c r="AR31" s="3">
        <f>SUM(K31,M31,O31,Q31,S31,U31,Y31,AA31,AC31,AE31,AG31,AI31,AK31,AM31,AO31,AQ31,AV31,AY31,BB31,BE31)</f>
        <v>2455933.1901856484</v>
      </c>
      <c r="AS31" s="3" t="s">
        <v>136</v>
      </c>
      <c r="AU31" s="2" t="s">
        <v>70</v>
      </c>
      <c r="AV31" s="4">
        <f>AV26</f>
        <v>163266.29628750004</v>
      </c>
      <c r="AX31" s="2" t="s">
        <v>69</v>
      </c>
      <c r="AY31" s="4">
        <f>AY29</f>
        <v>1739.4274395000002</v>
      </c>
      <c r="BA31" s="2" t="s">
        <v>69</v>
      </c>
      <c r="BB31" s="4">
        <f>BB29</f>
        <v>1245.65700825</v>
      </c>
      <c r="BD31" s="2" t="s">
        <v>69</v>
      </c>
      <c r="BE31" s="4">
        <f>BE29</f>
        <v>6677.9874630000004</v>
      </c>
    </row>
    <row r="32" spans="1:60">
      <c r="A32" t="s">
        <v>21</v>
      </c>
    </row>
    <row r="33" spans="30:45">
      <c r="AD33" t="s">
        <v>139</v>
      </c>
      <c r="AE33" s="4">
        <f>AE26-AE31</f>
        <v>68916.302712000033</v>
      </c>
      <c r="AR33" s="4">
        <f>AR26-AR31</f>
        <v>2330286.9837160911</v>
      </c>
      <c r="AS33" s="2" t="s">
        <v>138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ann</dc:creator>
  <cp:lastModifiedBy>mary ann</cp:lastModifiedBy>
  <dcterms:created xsi:type="dcterms:W3CDTF">2011-09-28T21:09:54Z</dcterms:created>
  <dcterms:modified xsi:type="dcterms:W3CDTF">2012-01-02T19:04:32Z</dcterms:modified>
</cp:coreProperties>
</file>